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2.05.20" sheetId="1" r:id="rId1"/>
  </sheets>
  <definedNames>
    <definedName name="_xlnm.Print_Area" localSheetId="0">'12.05.20'!$A$3:$U$64</definedName>
  </definedName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8" i="1"/>
  <c r="N37"/>
  <c r="N36"/>
  <c r="N35"/>
  <c r="N34"/>
  <c r="N31"/>
  <c r="N30"/>
  <c r="N28"/>
  <c r="N25"/>
  <c r="N22"/>
  <c r="N21"/>
  <c r="N20"/>
  <c r="N10"/>
  <c r="N8"/>
  <c r="Q36" l="1"/>
  <c r="Q38"/>
  <c r="Q37"/>
  <c r="Q35"/>
  <c r="Q34"/>
  <c r="Q33"/>
  <c r="Q32"/>
  <c r="Q31"/>
  <c r="Q28"/>
  <c r="Q25"/>
  <c r="Q24"/>
  <c r="Q23"/>
  <c r="Q22"/>
  <c r="Q21"/>
  <c r="Q20"/>
  <c r="Q19"/>
  <c r="Q16"/>
  <c r="Q15"/>
  <c r="Q11"/>
  <c r="Q10"/>
  <c r="Q8"/>
  <c r="P35"/>
  <c r="P8"/>
  <c r="P10"/>
  <c r="P11"/>
  <c r="P16"/>
  <c r="P20"/>
  <c r="P21"/>
  <c r="P22"/>
  <c r="P23"/>
  <c r="P24"/>
  <c r="P25"/>
  <c r="P30"/>
  <c r="P32"/>
  <c r="P33"/>
  <c r="P34"/>
  <c r="P36"/>
  <c r="P37"/>
  <c r="P38"/>
  <c r="Q30" l="1"/>
  <c r="Q29"/>
  <c r="Q18"/>
  <c r="N32"/>
  <c r="C60" l="1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P28" l="1"/>
  <c r="P19"/>
  <c r="N23" l="1"/>
  <c r="N11"/>
  <c r="H39" l="1"/>
  <c r="H33"/>
  <c r="H32"/>
  <c r="H29"/>
  <c r="H27"/>
  <c r="H26"/>
  <c r="H24"/>
  <c r="H11"/>
  <c r="H10"/>
  <c r="H9"/>
  <c r="H8"/>
  <c r="N16" l="1"/>
  <c r="P31"/>
  <c r="P29"/>
  <c r="N29" l="1"/>
  <c r="N33" l="1"/>
  <c r="N19" l="1"/>
  <c r="N24" l="1"/>
  <c r="R11" l="1"/>
  <c r="R8" l="1"/>
  <c r="R38" l="1"/>
  <c r="R54"/>
  <c r="R52" l="1"/>
  <c r="R39" l="1"/>
  <c r="R21"/>
  <c r="R17"/>
  <c r="R15"/>
  <c r="R14"/>
  <c r="R9"/>
  <c r="R29"/>
  <c r="R24"/>
  <c r="R37"/>
  <c r="R36"/>
  <c r="R35"/>
  <c r="R34"/>
  <c r="R33"/>
  <c r="R32"/>
  <c r="R31"/>
  <c r="R30"/>
  <c r="R28"/>
  <c r="R25"/>
  <c r="R23"/>
  <c r="R22"/>
  <c r="R20"/>
  <c r="R19"/>
  <c r="R18"/>
  <c r="R16"/>
  <c r="R10"/>
  <c r="R12" l="1"/>
  <c r="J52" l="1"/>
  <c r="J48"/>
  <c r="J45"/>
  <c r="R13" l="1"/>
  <c r="R41"/>
  <c r="R42"/>
  <c r="R43"/>
  <c r="R44"/>
  <c r="R45"/>
  <c r="R46"/>
  <c r="R47"/>
  <c r="R48"/>
  <c r="R49"/>
  <c r="R50"/>
  <c r="R51"/>
  <c r="R53"/>
  <c r="R55"/>
  <c r="R56"/>
  <c r="R57"/>
  <c r="R58"/>
  <c r="R59"/>
  <c r="R60"/>
  <c r="E56" l="1"/>
  <c r="E57"/>
  <c r="E58"/>
  <c r="E59"/>
  <c r="E60"/>
  <c r="E55" l="1"/>
  <c r="E54"/>
  <c r="E53"/>
  <c r="E52"/>
  <c r="E51"/>
  <c r="E21"/>
  <c r="E34" l="1"/>
  <c r="E42" l="1"/>
  <c r="E43"/>
  <c r="E44"/>
  <c r="E45"/>
  <c r="E46"/>
  <c r="E47"/>
  <c r="E48"/>
  <c r="E49"/>
  <c r="E50"/>
  <c r="E41"/>
  <c r="E9"/>
  <c r="E12"/>
  <c r="E13"/>
  <c r="E14"/>
  <c r="E15"/>
  <c r="E16"/>
  <c r="E17"/>
  <c r="E22"/>
  <c r="E23"/>
  <c r="E25"/>
  <c r="E32"/>
  <c r="E35"/>
  <c r="E36"/>
  <c r="E37"/>
  <c r="E38"/>
  <c r="E39"/>
  <c r="E33" l="1"/>
  <c r="E31"/>
  <c r="E30"/>
  <c r="E29"/>
  <c r="E28"/>
  <c r="E24"/>
  <c r="E11"/>
  <c r="E10"/>
  <c r="E20"/>
  <c r="E19"/>
  <c r="E27" l="1"/>
  <c r="E18"/>
  <c r="E8"/>
  <c r="E26"/>
</calcChain>
</file>

<file path=xl/sharedStrings.xml><?xml version="1.0" encoding="utf-8"?>
<sst xmlns="http://schemas.openxmlformats.org/spreadsheetml/2006/main" count="127" uniqueCount="90">
  <si>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</si>
  <si>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</si>
  <si>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</si>
  <si>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</si>
  <si>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Товарные запасы в торговле</t>
  </si>
  <si>
    <t>Тонны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</si>
  <si>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</si>
  <si>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</si>
  <si>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</si>
  <si>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</si>
  <si>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</si>
  <si>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</si>
  <si>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</si>
  <si>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</si>
  <si>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</si>
  <si>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</si>
  <si>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</si>
  <si>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</si>
  <si>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</si>
  <si>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</si>
  <si>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</si>
  <si>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</si>
  <si>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</si>
  <si>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</si>
  <si>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</si>
  <si>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</si>
  <si>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</si>
  <si>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</si>
  <si>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</si>
  <si>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</si>
  <si>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</si>
  <si>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</si>
  <si>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</si>
  <si>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</si>
  <si>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</si>
  <si>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</si>
  <si>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</si>
  <si>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</si>
  <si>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</si>
  <si>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</si>
  <si>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</si>
  <si>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</si>
  <si>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</si>
  <si>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</si>
  <si>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</si>
  <si>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</si>
  <si>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</si>
  <si>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Для мониторинга средних цен необходимо выбирать наиболее востребованные товары в категории, которые постоянно есть в продаже, и не менять их на всем протяжении мониторинга.
В случае выбытия товара из ассортимента необходимо подобрать ему замену, аналогичную по характеристикам и цене. Не рекомендуется фиксировать цены на товары, реализуемые по акции.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</si>
  <si>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</si>
  <si>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</si>
  <si>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</si>
  <si>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</si>
  <si>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</si>
  <si>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Приложение 1                                                                                                                                к письму ___________от _________________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</si>
  <si>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</si>
  <si>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</si>
  <si>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</si>
  <si>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</si>
  <si>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</si>
  <si>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</si>
  <si>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</si>
  <si>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</si>
  <si>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</si>
  <si>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</si>
  <si>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** информация по этим позициям предоставляетс в случае наличия таких товаров в ассортименте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</si>
  <si>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</si>
  <si>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</si>
  <si>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</si>
  <si>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</si>
  <si>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</si>
  <si>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</si>
  <si>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</si>
  <si>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</si>
  <si>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</si>
  <si>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</si>
  <si>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</si>
  <si>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</si>
  <si>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товарные запасы указаны в тоннах</t>
  </si>
  <si>
    <t>товарные запасы указаны в тыс. штук</t>
  </si>
  <si>
    <t>товарные запасы указаны в штуках</t>
  </si>
  <si>
    <t>товарные запасы указаны в бутылках</t>
  </si>
  <si>
    <t>товарные запасы указаны в упаковках</t>
  </si>
  <si>
    <t>Итого оварные запасы в торговле</t>
  </si>
  <si>
    <t>Пеленка для новорожденного ситцевая, шт**</t>
  </si>
  <si>
    <t xml:space="preserve">Комментарий по товарным запасам
</t>
  </si>
  <si>
    <t>Динамика спроса, % к предыдущему дню</t>
  </si>
  <si>
    <t>Дни торговли, исходя из текущих темпов продаж</t>
  </si>
  <si>
    <t xml:space="preserve">товарные запасы указаны в штуках </t>
  </si>
  <si>
    <t>Исполнитель: Козырчикова О.А. тел.: 8(34678)28-071, сот. 8-904-450-60-18</t>
  </si>
  <si>
    <t>изменение розничной цены в магазине "Пятерочка" г.п. Приобье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</si>
</sst>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00"/>
    <numFmt numFmtId="166" formatCode="0.0000"/>
  </numFmts>
  <fonts count="20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5"/>
      <name val="Calibri"/>
      <family val="2"/>
      <charset val="1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sz val="20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7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2" fontId="1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7" fillId="0" borderId="0" xfId="0" applyFont="1" applyFill="1"/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9" fontId="10" fillId="0" borderId="1" xfId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center" vertical="center"/>
    </xf>
    <xf numFmtId="9" fontId="10" fillId="0" borderId="1" xfId="1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9" fontId="10" fillId="0" borderId="1" xfId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1" fillId="0" borderId="1" xfId="0" applyFont="1" applyFill="1" applyBorder="1"/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9" fillId="6" borderId="1" xfId="0" applyNumberFormat="1" applyFont="1" applyFill="1" applyBorder="1" applyAlignment="1">
      <alignment horizontal="center" vertical="center" wrapText="1"/>
    </xf>
    <xf numFmtId="1" fontId="19" fillId="6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wrapText="1"/>
    </xf>
    <xf numFmtId="165" fontId="19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6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view="pageBreakPreview" topLeftCell="D3" zoomScale="40" zoomScaleNormal="55" zoomScaleSheetLayoutView="40" zoomScalePageLayoutView="75" workbookViewId="0">
      <selection activeCell="C3" sqref="C1:E1048576"/>
    </sheetView>
  </sheetViews>
  <sheetFormatPr defaultRowHeight="26.25"/>
  <cols>
    <col min="1" max="1" width="6.5703125" style="1" customWidth="1"/>
    <col min="2" max="2" width="74.42578125" style="7" customWidth="1"/>
    <col min="3" max="5" width="38.28515625" style="26" customWidth="1"/>
    <col min="6" max="6" width="56.28515625" style="27" customWidth="1"/>
    <col min="7" max="9" width="32.7109375" style="26" customWidth="1"/>
    <col min="10" max="10" width="43.42578125" style="26" customWidth="1"/>
    <col min="11" max="11" width="32.7109375" style="26" customWidth="1"/>
    <col min="12" max="12" width="44.85546875" style="26" customWidth="1"/>
    <col min="13" max="13" width="32.7109375" style="26" customWidth="1"/>
    <col min="14" max="14" width="22" style="26" hidden="1" customWidth="1"/>
    <col min="15" max="15" width="21.42578125" style="26" hidden="1" customWidth="1"/>
    <col min="16" max="16" width="23.5703125" style="69" hidden="1" customWidth="1"/>
    <col min="17" max="17" width="21.28515625" style="26" hidden="1" customWidth="1"/>
    <col min="18" max="18" width="19.28515625" style="56" hidden="1" customWidth="1"/>
    <col min="19" max="19" width="10.5703125" style="26" hidden="1" customWidth="1"/>
    <col min="20" max="20" width="5.140625" style="26" hidden="1" customWidth="1"/>
    <col min="21" max="21" width="52.140625" style="26" hidden="1" customWidth="1"/>
    <col min="22" max="22" width="27.42578125" style="23" customWidth="1"/>
    <col min="23" max="1038" width="8.7109375" customWidth="1"/>
  </cols>
  <sheetData>
    <row r="1" spans="1:22" ht="24.75" hidden="1" customHeight="1">
      <c r="T1" s="105" t="s">
        <v>53</v>
      </c>
      <c r="U1" s="105"/>
    </row>
    <row r="2" spans="1:22" ht="24.75" hidden="1" customHeight="1">
      <c r="T2" s="105"/>
      <c r="U2" s="105"/>
    </row>
    <row r="3" spans="1:22" ht="24.75" customHeight="1">
      <c r="B3" s="15" t="s">
        <v>54</v>
      </c>
    </row>
    <row r="4" spans="1:22" ht="20.25" customHeight="1">
      <c r="A4" s="6"/>
      <c r="B4" s="16"/>
      <c r="C4" s="28">
        <v>43963</v>
      </c>
      <c r="D4" s="28">
        <v>43962</v>
      </c>
      <c r="E4" s="29"/>
      <c r="F4" s="111" t="s">
        <v>0</v>
      </c>
      <c r="G4" s="51">
        <v>1</v>
      </c>
      <c r="H4" s="30">
        <v>2</v>
      </c>
      <c r="I4" s="30">
        <v>3</v>
      </c>
      <c r="J4" s="30">
        <v>4</v>
      </c>
      <c r="K4" s="30">
        <v>5</v>
      </c>
      <c r="L4" s="29">
        <v>6</v>
      </c>
      <c r="M4" s="30">
        <v>8</v>
      </c>
      <c r="N4" s="30"/>
      <c r="O4" s="30"/>
      <c r="P4" s="30"/>
      <c r="Q4" s="30"/>
      <c r="R4" s="57"/>
      <c r="S4" s="92">
        <v>43923</v>
      </c>
      <c r="T4" s="92"/>
      <c r="U4" s="93" t="s">
        <v>84</v>
      </c>
    </row>
    <row r="5" spans="1:22" ht="42.75" customHeight="1">
      <c r="A5" s="94" t="s">
        <v>1</v>
      </c>
      <c r="B5" s="95" t="s">
        <v>2</v>
      </c>
      <c r="C5" s="96" t="s">
        <v>3</v>
      </c>
      <c r="D5" s="96" t="s">
        <v>3</v>
      </c>
      <c r="E5" s="96" t="s">
        <v>70</v>
      </c>
      <c r="F5" s="111"/>
      <c r="G5" s="81" t="s">
        <v>60</v>
      </c>
      <c r="H5" s="45" t="s">
        <v>57</v>
      </c>
      <c r="I5" s="52" t="s">
        <v>59</v>
      </c>
      <c r="J5" s="109" t="s">
        <v>71</v>
      </c>
      <c r="K5" s="110"/>
      <c r="L5" s="45" t="s">
        <v>56</v>
      </c>
      <c r="M5" s="45" t="s">
        <v>58</v>
      </c>
      <c r="N5" s="102" t="s">
        <v>4</v>
      </c>
      <c r="O5" s="103"/>
      <c r="P5" s="103"/>
      <c r="Q5" s="104"/>
      <c r="R5" s="93" t="s">
        <v>82</v>
      </c>
      <c r="S5" s="93"/>
      <c r="T5" s="97" t="s">
        <v>85</v>
      </c>
      <c r="U5" s="93"/>
    </row>
    <row r="6" spans="1:22" ht="92.25" customHeight="1">
      <c r="A6" s="94"/>
      <c r="B6" s="95"/>
      <c r="C6" s="96"/>
      <c r="D6" s="96"/>
      <c r="E6" s="96"/>
      <c r="F6" s="111"/>
      <c r="G6" s="53" t="s">
        <v>74</v>
      </c>
      <c r="H6" s="53" t="s">
        <v>72</v>
      </c>
      <c r="I6" s="53" t="s">
        <v>73</v>
      </c>
      <c r="J6" s="80" t="s">
        <v>55</v>
      </c>
      <c r="K6" s="80" t="s">
        <v>68</v>
      </c>
      <c r="L6" s="80" t="s">
        <v>69</v>
      </c>
      <c r="M6" s="80" t="s">
        <v>61</v>
      </c>
      <c r="N6" s="80" t="s">
        <v>55</v>
      </c>
      <c r="O6" s="80" t="s">
        <v>68</v>
      </c>
      <c r="P6" s="80" t="s">
        <v>69</v>
      </c>
      <c r="Q6" s="80" t="s">
        <v>61</v>
      </c>
      <c r="R6" s="58" t="s">
        <v>5</v>
      </c>
      <c r="S6" s="59" t="s">
        <v>86</v>
      </c>
      <c r="T6" s="97"/>
      <c r="U6" s="93"/>
    </row>
    <row r="7" spans="1:22" ht="22.5" customHeight="1">
      <c r="A7" s="8"/>
      <c r="B7" s="21" t="s">
        <v>76</v>
      </c>
      <c r="C7" s="47"/>
      <c r="D7" s="47"/>
      <c r="E7" s="79"/>
      <c r="F7" s="82"/>
      <c r="G7" s="31"/>
      <c r="H7" s="80"/>
      <c r="I7" s="80"/>
      <c r="J7" s="80"/>
      <c r="K7" s="80"/>
      <c r="L7" s="80"/>
      <c r="M7" s="80"/>
      <c r="N7" s="80"/>
      <c r="O7" s="80"/>
      <c r="P7" s="80"/>
      <c r="Q7" s="80"/>
      <c r="R7" s="46"/>
      <c r="S7" s="50"/>
      <c r="T7" s="50"/>
      <c r="U7" s="50"/>
    </row>
    <row r="8" spans="1:22">
      <c r="A8" s="2">
        <v>1</v>
      </c>
      <c r="B8" s="11" t="s">
        <v>6</v>
      </c>
      <c r="C8" s="32">
        <f>AVERAGE(G8:M8)</f>
        <v>243.89493177387916</v>
      </c>
      <c r="D8" s="32">
        <v>243.89493177387916</v>
      </c>
      <c r="E8" s="33">
        <f>C8/D8</f>
        <v>1</v>
      </c>
      <c r="F8" s="25"/>
      <c r="G8" s="32">
        <v>207.86</v>
      </c>
      <c r="H8" s="32">
        <f>89.9/0.36</f>
        <v>249.72222222222226</v>
      </c>
      <c r="I8" s="32">
        <v>286.83999999999997</v>
      </c>
      <c r="J8" s="32">
        <v>315.78947368421052</v>
      </c>
      <c r="K8" s="32"/>
      <c r="L8" s="34">
        <v>140</v>
      </c>
      <c r="M8" s="34">
        <v>263.15789473684208</v>
      </c>
      <c r="N8" s="86">
        <f>11.02/1000</f>
        <v>1.102E-2</v>
      </c>
      <c r="O8" s="32"/>
      <c r="P8" s="35">
        <f>19.5/1000</f>
        <v>1.95E-2</v>
      </c>
      <c r="Q8" s="83">
        <f>18.62/1000</f>
        <v>1.8620000000000001E-2</v>
      </c>
      <c r="R8" s="35">
        <f>SUM(N8:Q8)</f>
        <v>4.9140000000000003E-2</v>
      </c>
      <c r="S8" s="60"/>
      <c r="T8" s="60"/>
      <c r="U8" s="61" t="s">
        <v>77</v>
      </c>
    </row>
    <row r="9" spans="1:22" s="4" customFormat="1">
      <c r="A9" s="3">
        <v>2</v>
      </c>
      <c r="B9" s="17" t="s">
        <v>7</v>
      </c>
      <c r="C9" s="32">
        <f>AVERAGE(G9:M9)</f>
        <v>575.32333333333338</v>
      </c>
      <c r="D9" s="32">
        <v>575.32333333333338</v>
      </c>
      <c r="E9" s="33">
        <f t="shared" ref="E9:E39" si="0">C9/D9</f>
        <v>1</v>
      </c>
      <c r="F9" s="25"/>
      <c r="G9" s="32">
        <v>693.3</v>
      </c>
      <c r="H9" s="32">
        <f>159.9/0.3</f>
        <v>533</v>
      </c>
      <c r="I9" s="32">
        <v>499.67</v>
      </c>
      <c r="J9" s="32"/>
      <c r="K9" s="32"/>
      <c r="L9" s="34"/>
      <c r="M9" s="34"/>
      <c r="N9" s="70"/>
      <c r="O9" s="32"/>
      <c r="P9" s="70"/>
      <c r="Q9" s="54"/>
      <c r="R9" s="35">
        <f>SUM(N9:Q9)</f>
        <v>0</v>
      </c>
      <c r="S9" s="60"/>
      <c r="T9" s="60"/>
      <c r="U9" s="61" t="s">
        <v>77</v>
      </c>
      <c r="V9" s="24"/>
    </row>
    <row r="10" spans="1:22" s="4" customFormat="1">
      <c r="A10" s="3">
        <v>3</v>
      </c>
      <c r="B10" s="17" t="s">
        <v>8</v>
      </c>
      <c r="C10" s="32">
        <f>AVERAGE(G10:M10)</f>
        <v>375.02447571533543</v>
      </c>
      <c r="D10" s="32">
        <v>375.02447571533543</v>
      </c>
      <c r="E10" s="33">
        <f t="shared" si="0"/>
        <v>1</v>
      </c>
      <c r="F10" s="25"/>
      <c r="G10" s="32">
        <v>292.27</v>
      </c>
      <c r="H10" s="32">
        <f>99.9/0.34</f>
        <v>293.8235294117647</v>
      </c>
      <c r="I10" s="32">
        <v>532.25</v>
      </c>
      <c r="J10" s="32">
        <v>497.04142011834318</v>
      </c>
      <c r="K10" s="32"/>
      <c r="L10" s="34">
        <v>330</v>
      </c>
      <c r="M10" s="34">
        <v>304.76190476190476</v>
      </c>
      <c r="N10" s="86">
        <f>29.068/1000</f>
        <v>2.9068E-2</v>
      </c>
      <c r="O10" s="32"/>
      <c r="P10" s="35">
        <f>48/1000</f>
        <v>4.8000000000000001E-2</v>
      </c>
      <c r="Q10" s="83">
        <f>83.475/1000</f>
        <v>8.3474999999999994E-2</v>
      </c>
      <c r="R10" s="35">
        <f>SUM(N10:Q10)</f>
        <v>0.16054299999999999</v>
      </c>
      <c r="S10" s="60"/>
      <c r="T10" s="60"/>
      <c r="U10" s="61" t="s">
        <v>77</v>
      </c>
      <c r="V10" s="24"/>
    </row>
    <row r="11" spans="1:22" ht="45.75" customHeight="1">
      <c r="A11" s="2">
        <v>4</v>
      </c>
      <c r="B11" s="11" t="s">
        <v>9</v>
      </c>
      <c r="C11" s="32">
        <f t="shared" ref="C11:C39" si="1">AVERAGE(G11:M11)</f>
        <v>438.89401360544213</v>
      </c>
      <c r="D11" s="32">
        <v>438.89401360544213</v>
      </c>
      <c r="E11" s="33">
        <f t="shared" si="0"/>
        <v>1</v>
      </c>
      <c r="G11" s="32">
        <v>503.96</v>
      </c>
      <c r="H11" s="32">
        <f>79.9/0.25</f>
        <v>319.60000000000002</v>
      </c>
      <c r="I11" s="32">
        <v>519.6</v>
      </c>
      <c r="J11" s="32">
        <v>440</v>
      </c>
      <c r="K11" s="32"/>
      <c r="L11" s="34">
        <v>340</v>
      </c>
      <c r="M11" s="34">
        <v>510.20408163265307</v>
      </c>
      <c r="N11" s="35">
        <f>2/1000</f>
        <v>2E-3</v>
      </c>
      <c r="O11" s="32"/>
      <c r="P11" s="35">
        <f>12.4/1000</f>
        <v>1.24E-2</v>
      </c>
      <c r="Q11" s="83">
        <f>36.26/1000</f>
        <v>3.6260000000000001E-2</v>
      </c>
      <c r="R11" s="35">
        <f>SUM(N11:Q11)</f>
        <v>5.0659999999999997E-2</v>
      </c>
      <c r="S11" s="60"/>
      <c r="T11" s="60"/>
      <c r="U11" s="61" t="s">
        <v>77</v>
      </c>
    </row>
    <row r="12" spans="1:22" ht="34.5" customHeight="1">
      <c r="A12" s="2">
        <v>5</v>
      </c>
      <c r="B12" s="11" t="s">
        <v>10</v>
      </c>
      <c r="C12" s="32">
        <f t="shared" si="1"/>
        <v>46.798333333333325</v>
      </c>
      <c r="D12" s="32">
        <v>46.798333333333325</v>
      </c>
      <c r="E12" s="33">
        <f t="shared" si="0"/>
        <v>1</v>
      </c>
      <c r="F12" s="25"/>
      <c r="G12" s="32">
        <v>34.99</v>
      </c>
      <c r="H12" s="32">
        <v>44.9</v>
      </c>
      <c r="I12" s="32">
        <v>40.9</v>
      </c>
      <c r="J12" s="32">
        <v>50</v>
      </c>
      <c r="K12" s="32"/>
      <c r="L12" s="34">
        <v>55</v>
      </c>
      <c r="M12" s="34">
        <v>55</v>
      </c>
      <c r="N12" s="70">
        <v>20</v>
      </c>
      <c r="O12" s="32"/>
      <c r="P12" s="70">
        <v>39</v>
      </c>
      <c r="Q12" s="84">
        <v>45</v>
      </c>
      <c r="R12" s="62">
        <f t="shared" ref="R12:R60" si="2">SUM(N12:Q12)</f>
        <v>104</v>
      </c>
      <c r="S12" s="60"/>
      <c r="T12" s="60"/>
      <c r="U12" s="61" t="s">
        <v>80</v>
      </c>
    </row>
    <row r="13" spans="1:22">
      <c r="A13" s="2">
        <v>6</v>
      </c>
      <c r="B13" s="11" t="s">
        <v>11</v>
      </c>
      <c r="C13" s="32">
        <f t="shared" si="1"/>
        <v>58.957999999999991</v>
      </c>
      <c r="D13" s="32">
        <v>58.957999999999991</v>
      </c>
      <c r="E13" s="36">
        <f>C13/D13</f>
        <v>1</v>
      </c>
      <c r="G13" s="32">
        <v>59.99</v>
      </c>
      <c r="H13" s="41">
        <v>59.9</v>
      </c>
      <c r="I13" s="32">
        <v>54.9</v>
      </c>
      <c r="J13" s="32"/>
      <c r="K13" s="32"/>
      <c r="L13" s="34">
        <v>70</v>
      </c>
      <c r="M13" s="34">
        <v>50</v>
      </c>
      <c r="N13" s="70"/>
      <c r="O13" s="32"/>
      <c r="P13" s="70">
        <v>4</v>
      </c>
      <c r="Q13" s="84">
        <v>54</v>
      </c>
      <c r="R13" s="62">
        <f t="shared" si="2"/>
        <v>58</v>
      </c>
      <c r="S13" s="60"/>
      <c r="T13" s="60"/>
      <c r="U13" s="61" t="s">
        <v>80</v>
      </c>
    </row>
    <row r="14" spans="1:22" s="4" customFormat="1" ht="27.75" customHeight="1">
      <c r="A14" s="3">
        <v>7</v>
      </c>
      <c r="B14" s="17" t="s">
        <v>12</v>
      </c>
      <c r="C14" s="32" t="e">
        <f t="shared" si="1"/>
        <v>#DIV/0!</v>
      </c>
      <c r="D14" s="32" t="e">
        <v>#DIV/0!</v>
      </c>
      <c r="E14" s="33" t="e">
        <f t="shared" si="0"/>
        <v>#DIV/0!</v>
      </c>
      <c r="F14" s="37"/>
      <c r="G14" s="32"/>
      <c r="H14" s="32"/>
      <c r="I14" s="32"/>
      <c r="J14" s="32"/>
      <c r="K14" s="32"/>
      <c r="L14" s="34"/>
      <c r="M14" s="34"/>
      <c r="N14" s="70"/>
      <c r="O14" s="32"/>
      <c r="P14" s="70"/>
      <c r="Q14" s="54"/>
      <c r="R14" s="35">
        <f>SUM(N14:Q14)</f>
        <v>0</v>
      </c>
      <c r="S14" s="60"/>
      <c r="T14" s="60"/>
      <c r="U14" s="61" t="s">
        <v>77</v>
      </c>
      <c r="V14" s="24"/>
    </row>
    <row r="15" spans="1:22" s="4" customFormat="1" ht="27" customHeight="1">
      <c r="A15" s="3">
        <v>8</v>
      </c>
      <c r="B15" s="17" t="s">
        <v>13</v>
      </c>
      <c r="C15" s="32">
        <f>AVERAGE(G15:M15)</f>
        <v>350</v>
      </c>
      <c r="D15" s="32">
        <v>350</v>
      </c>
      <c r="E15" s="33">
        <f t="shared" si="0"/>
        <v>1</v>
      </c>
      <c r="F15" s="25"/>
      <c r="G15" s="32"/>
      <c r="H15" s="32"/>
      <c r="I15" s="32"/>
      <c r="J15" s="32"/>
      <c r="K15" s="32"/>
      <c r="L15" s="34"/>
      <c r="M15" s="34">
        <v>350</v>
      </c>
      <c r="N15" s="70"/>
      <c r="O15" s="32"/>
      <c r="P15" s="70"/>
      <c r="Q15" s="83">
        <f>32/1000</f>
        <v>3.2000000000000001E-2</v>
      </c>
      <c r="R15" s="35">
        <f>SUM(N15:Q15)</f>
        <v>3.2000000000000001E-2</v>
      </c>
      <c r="S15" s="60"/>
      <c r="T15" s="60"/>
      <c r="U15" s="61" t="s">
        <v>77</v>
      </c>
      <c r="V15" s="24"/>
    </row>
    <row r="16" spans="1:22" s="4" customFormat="1">
      <c r="A16" s="3">
        <v>9</v>
      </c>
      <c r="B16" s="17" t="s">
        <v>14</v>
      </c>
      <c r="C16" s="32">
        <f>AVERAGE(G16:M16)</f>
        <v>178.29833333333332</v>
      </c>
      <c r="D16" s="32">
        <v>178.29833333333332</v>
      </c>
      <c r="E16" s="36">
        <f t="shared" si="0"/>
        <v>1</v>
      </c>
      <c r="F16" s="25"/>
      <c r="G16" s="32">
        <v>149.99</v>
      </c>
      <c r="H16" s="32">
        <v>149.9</v>
      </c>
      <c r="I16" s="32">
        <v>109.9</v>
      </c>
      <c r="J16" s="32">
        <v>240</v>
      </c>
      <c r="K16" s="32"/>
      <c r="L16" s="34">
        <v>195</v>
      </c>
      <c r="M16" s="34">
        <v>225</v>
      </c>
      <c r="N16" s="35">
        <f>14/1000</f>
        <v>1.4E-2</v>
      </c>
      <c r="O16" s="32"/>
      <c r="P16" s="35">
        <f>13/1000</f>
        <v>1.2999999999999999E-2</v>
      </c>
      <c r="Q16" s="83">
        <f>51/1000</f>
        <v>5.0999999999999997E-2</v>
      </c>
      <c r="R16" s="35">
        <f>SUM(N16:Q16)</f>
        <v>7.8E-2</v>
      </c>
      <c r="S16" s="60"/>
      <c r="T16" s="60"/>
      <c r="U16" s="61" t="s">
        <v>77</v>
      </c>
      <c r="V16" s="24"/>
    </row>
    <row r="17" spans="1:22" s="4" customFormat="1">
      <c r="A17" s="3">
        <v>10</v>
      </c>
      <c r="B17" s="17" t="s">
        <v>15</v>
      </c>
      <c r="C17" s="32">
        <f t="shared" si="1"/>
        <v>154.92999999999998</v>
      </c>
      <c r="D17" s="32">
        <v>154.92999999999998</v>
      </c>
      <c r="E17" s="33">
        <f t="shared" si="0"/>
        <v>1</v>
      </c>
      <c r="F17" s="25"/>
      <c r="G17" s="32">
        <v>114.99</v>
      </c>
      <c r="H17" s="32">
        <v>179.9</v>
      </c>
      <c r="I17" s="32">
        <v>169.9</v>
      </c>
      <c r="J17" s="32"/>
      <c r="K17" s="32"/>
      <c r="L17" s="34"/>
      <c r="M17" s="34"/>
      <c r="N17" s="70"/>
      <c r="O17" s="32"/>
      <c r="P17" s="70"/>
      <c r="Q17" s="54"/>
      <c r="R17" s="35">
        <f t="shared" si="2"/>
        <v>0</v>
      </c>
      <c r="S17" s="60"/>
      <c r="T17" s="60"/>
      <c r="U17" s="63"/>
      <c r="V17" s="24"/>
    </row>
    <row r="18" spans="1:22" s="4" customFormat="1">
      <c r="A18" s="3">
        <v>11</v>
      </c>
      <c r="B18" s="17" t="s">
        <v>16</v>
      </c>
      <c r="C18" s="32">
        <f>AVERAGE(G18:M18)</f>
        <v>659.43000000000006</v>
      </c>
      <c r="D18" s="32">
        <v>659.43000000000006</v>
      </c>
      <c r="E18" s="33">
        <f t="shared" si="0"/>
        <v>1</v>
      </c>
      <c r="F18" s="25"/>
      <c r="G18" s="32">
        <v>766.61</v>
      </c>
      <c r="H18" s="32">
        <v>749.44</v>
      </c>
      <c r="I18" s="32">
        <v>721.67</v>
      </c>
      <c r="J18" s="32"/>
      <c r="K18" s="32"/>
      <c r="L18" s="34"/>
      <c r="M18" s="34">
        <v>400</v>
      </c>
      <c r="N18" s="70"/>
      <c r="O18" s="32"/>
      <c r="P18" s="70"/>
      <c r="Q18" s="54">
        <f>38.4/1000</f>
        <v>3.8399999999999997E-2</v>
      </c>
      <c r="R18" s="35">
        <f t="shared" ref="R18:R25" si="3">SUM(N18:Q18)</f>
        <v>3.8399999999999997E-2</v>
      </c>
      <c r="S18" s="60"/>
      <c r="T18" s="60"/>
      <c r="U18" s="61" t="s">
        <v>77</v>
      </c>
      <c r="V18" s="24"/>
    </row>
    <row r="19" spans="1:22" s="4" customFormat="1">
      <c r="A19" s="3">
        <v>12</v>
      </c>
      <c r="B19" s="17" t="s">
        <v>17</v>
      </c>
      <c r="C19" s="32">
        <f t="shared" si="1"/>
        <v>101.35000000000001</v>
      </c>
      <c r="D19" s="32">
        <v>101.35000000000001</v>
      </c>
      <c r="E19" s="36">
        <f t="shared" si="0"/>
        <v>1</v>
      </c>
      <c r="F19" s="25"/>
      <c r="G19" s="32">
        <v>91</v>
      </c>
      <c r="H19" s="32">
        <v>99.9</v>
      </c>
      <c r="I19" s="32">
        <v>112.2</v>
      </c>
      <c r="J19" s="32">
        <v>115</v>
      </c>
      <c r="K19" s="32"/>
      <c r="L19" s="34">
        <v>90</v>
      </c>
      <c r="M19" s="34">
        <v>100</v>
      </c>
      <c r="N19" s="35">
        <f>3/1000</f>
        <v>3.0000000000000001E-3</v>
      </c>
      <c r="O19" s="32"/>
      <c r="P19" s="35">
        <f>40/1000</f>
        <v>0.04</v>
      </c>
      <c r="Q19" s="83">
        <f>43/1000</f>
        <v>4.2999999999999997E-2</v>
      </c>
      <c r="R19" s="35">
        <f t="shared" si="3"/>
        <v>8.5999999999999993E-2</v>
      </c>
      <c r="S19" s="60"/>
      <c r="T19" s="60"/>
      <c r="U19" s="61" t="s">
        <v>77</v>
      </c>
      <c r="V19" s="24"/>
    </row>
    <row r="20" spans="1:22" s="4" customFormat="1">
      <c r="A20" s="3">
        <v>13</v>
      </c>
      <c r="B20" s="17" t="s">
        <v>18</v>
      </c>
      <c r="C20" s="32">
        <f t="shared" si="1"/>
        <v>59.574999999999996</v>
      </c>
      <c r="D20" s="32">
        <v>59.574999999999996</v>
      </c>
      <c r="E20" s="33">
        <f t="shared" si="0"/>
        <v>1</v>
      </c>
      <c r="F20" s="25"/>
      <c r="G20" s="32">
        <v>46.99</v>
      </c>
      <c r="H20" s="32">
        <v>48.9</v>
      </c>
      <c r="I20" s="32">
        <v>46.56</v>
      </c>
      <c r="J20" s="32">
        <v>75</v>
      </c>
      <c r="K20" s="32"/>
      <c r="L20" s="34">
        <v>75</v>
      </c>
      <c r="M20" s="34">
        <v>65</v>
      </c>
      <c r="N20" s="86">
        <f>113/1000</f>
        <v>0.113</v>
      </c>
      <c r="O20" s="32"/>
      <c r="P20" s="35">
        <f>102/1000</f>
        <v>0.10199999999999999</v>
      </c>
      <c r="Q20" s="83">
        <f>228/1000</f>
        <v>0.22800000000000001</v>
      </c>
      <c r="R20" s="35">
        <f t="shared" si="3"/>
        <v>0.443</v>
      </c>
      <c r="S20" s="60"/>
      <c r="T20" s="60"/>
      <c r="U20" s="61" t="s">
        <v>77</v>
      </c>
      <c r="V20" s="24"/>
    </row>
    <row r="21" spans="1:22" s="4" customFormat="1">
      <c r="A21" s="3">
        <v>14</v>
      </c>
      <c r="B21" s="17" t="s">
        <v>19</v>
      </c>
      <c r="C21" s="32">
        <f t="shared" si="1"/>
        <v>72.798333333333332</v>
      </c>
      <c r="D21" s="32">
        <v>72.798333333333332</v>
      </c>
      <c r="E21" s="36">
        <f t="shared" si="0"/>
        <v>1</v>
      </c>
      <c r="F21" s="25"/>
      <c r="G21" s="32">
        <v>54.99</v>
      </c>
      <c r="H21" s="32">
        <v>64.900000000000006</v>
      </c>
      <c r="I21" s="32">
        <v>59.9</v>
      </c>
      <c r="J21" s="32">
        <v>90</v>
      </c>
      <c r="K21" s="32"/>
      <c r="L21" s="34">
        <v>77</v>
      </c>
      <c r="M21" s="34">
        <v>90</v>
      </c>
      <c r="N21" s="86">
        <f>1120/1000</f>
        <v>1.1200000000000001</v>
      </c>
      <c r="O21" s="32"/>
      <c r="P21" s="70">
        <f>360/1000</f>
        <v>0.36</v>
      </c>
      <c r="Q21" s="83">
        <f>1450/1000</f>
        <v>1.45</v>
      </c>
      <c r="R21" s="35">
        <f t="shared" si="3"/>
        <v>2.9299999999999997</v>
      </c>
      <c r="S21" s="60"/>
      <c r="T21" s="60"/>
      <c r="U21" s="61" t="s">
        <v>78</v>
      </c>
      <c r="V21" s="24"/>
    </row>
    <row r="22" spans="1:22" s="4" customFormat="1">
      <c r="A22" s="3">
        <v>15</v>
      </c>
      <c r="B22" s="17" t="s">
        <v>20</v>
      </c>
      <c r="C22" s="32">
        <f t="shared" si="1"/>
        <v>44.181666666666672</v>
      </c>
      <c r="D22" s="32">
        <v>44.181666666666672</v>
      </c>
      <c r="E22" s="33">
        <f t="shared" si="0"/>
        <v>1</v>
      </c>
      <c r="F22" s="25"/>
      <c r="G22" s="32">
        <v>33.99</v>
      </c>
      <c r="H22" s="32">
        <v>34.9</v>
      </c>
      <c r="I22" s="32">
        <v>33.200000000000003</v>
      </c>
      <c r="J22" s="32">
        <v>58</v>
      </c>
      <c r="K22" s="32"/>
      <c r="L22" s="34">
        <v>50</v>
      </c>
      <c r="M22" s="34">
        <v>55</v>
      </c>
      <c r="N22" s="86">
        <f>132/1000</f>
        <v>0.13200000000000001</v>
      </c>
      <c r="O22" s="32"/>
      <c r="P22" s="35">
        <f>199/1000</f>
        <v>0.19900000000000001</v>
      </c>
      <c r="Q22" s="83">
        <f>87/1000</f>
        <v>8.6999999999999994E-2</v>
      </c>
      <c r="R22" s="35">
        <f t="shared" si="3"/>
        <v>0.41800000000000004</v>
      </c>
      <c r="S22" s="60"/>
      <c r="T22" s="60"/>
      <c r="U22" s="61" t="s">
        <v>77</v>
      </c>
      <c r="V22" s="24"/>
    </row>
    <row r="23" spans="1:22" s="4" customFormat="1">
      <c r="A23" s="3">
        <v>16</v>
      </c>
      <c r="B23" s="17" t="s">
        <v>21</v>
      </c>
      <c r="C23" s="32">
        <f t="shared" si="1"/>
        <v>15.464999999999998</v>
      </c>
      <c r="D23" s="32">
        <v>15.464999999999998</v>
      </c>
      <c r="E23" s="33">
        <f>C23/D23</f>
        <v>1</v>
      </c>
      <c r="F23" s="25"/>
      <c r="G23" s="32">
        <v>9.99</v>
      </c>
      <c r="H23" s="32">
        <v>16.899999999999999</v>
      </c>
      <c r="I23" s="32">
        <v>8.9</v>
      </c>
      <c r="J23" s="32">
        <v>20</v>
      </c>
      <c r="K23" s="32"/>
      <c r="L23" s="34">
        <v>20</v>
      </c>
      <c r="M23" s="34">
        <v>17</v>
      </c>
      <c r="N23" s="35">
        <f>15/1000</f>
        <v>1.4999999999999999E-2</v>
      </c>
      <c r="O23" s="32"/>
      <c r="P23" s="35">
        <f>100/1000</f>
        <v>0.1</v>
      </c>
      <c r="Q23" s="83">
        <f>376/1000</f>
        <v>0.376</v>
      </c>
      <c r="R23" s="35">
        <f t="shared" si="3"/>
        <v>0.49099999999999999</v>
      </c>
      <c r="S23" s="60"/>
      <c r="T23" s="60"/>
      <c r="U23" s="61" t="s">
        <v>77</v>
      </c>
      <c r="V23" s="24"/>
    </row>
    <row r="24" spans="1:22" s="4" customFormat="1" ht="32.25" customHeight="1">
      <c r="A24" s="3">
        <v>17</v>
      </c>
      <c r="B24" s="17" t="s">
        <v>22</v>
      </c>
      <c r="C24" s="32">
        <f t="shared" si="1"/>
        <v>789.66</v>
      </c>
      <c r="D24" s="32">
        <v>789.66</v>
      </c>
      <c r="E24" s="33">
        <f t="shared" si="0"/>
        <v>1</v>
      </c>
      <c r="F24" s="25"/>
      <c r="G24" s="32">
        <v>479.96</v>
      </c>
      <c r="H24" s="32">
        <f>65.9/0.1</f>
        <v>659</v>
      </c>
      <c r="I24" s="32">
        <v>878</v>
      </c>
      <c r="J24" s="32">
        <v>696</v>
      </c>
      <c r="K24" s="32"/>
      <c r="L24" s="34">
        <v>875</v>
      </c>
      <c r="M24" s="34">
        <v>1150</v>
      </c>
      <c r="N24" s="71">
        <f>3.25/1000</f>
        <v>3.2499999999999999E-3</v>
      </c>
      <c r="O24" s="32"/>
      <c r="P24" s="35">
        <f>34.5/1000</f>
        <v>3.4500000000000003E-2</v>
      </c>
      <c r="Q24" s="83">
        <f>29/1000</f>
        <v>2.9000000000000001E-2</v>
      </c>
      <c r="R24" s="35">
        <f t="shared" si="3"/>
        <v>6.6750000000000004E-2</v>
      </c>
      <c r="S24" s="60"/>
      <c r="T24" s="60"/>
      <c r="U24" s="61" t="s">
        <v>77</v>
      </c>
      <c r="V24" s="24"/>
    </row>
    <row r="25" spans="1:22" s="4" customFormat="1" ht="28.5" customHeight="1">
      <c r="A25" s="3">
        <v>18</v>
      </c>
      <c r="B25" s="17" t="s">
        <v>62</v>
      </c>
      <c r="C25" s="32">
        <f t="shared" si="1"/>
        <v>45.266666666666673</v>
      </c>
      <c r="D25" s="32">
        <v>45.266666666666673</v>
      </c>
      <c r="E25" s="36">
        <f t="shared" si="0"/>
        <v>1</v>
      </c>
      <c r="F25" s="25"/>
      <c r="G25" s="32">
        <v>39.75</v>
      </c>
      <c r="H25" s="32">
        <v>44.9</v>
      </c>
      <c r="I25" s="32">
        <v>26.45</v>
      </c>
      <c r="J25" s="32">
        <v>64</v>
      </c>
      <c r="K25" s="32"/>
      <c r="L25" s="34">
        <v>39</v>
      </c>
      <c r="M25" s="34">
        <v>57.5</v>
      </c>
      <c r="N25" s="86">
        <f>58/1000</f>
        <v>5.8000000000000003E-2</v>
      </c>
      <c r="O25" s="32"/>
      <c r="P25" s="35">
        <f>80/1000</f>
        <v>0.08</v>
      </c>
      <c r="Q25" s="83">
        <f>134/1000</f>
        <v>0.13400000000000001</v>
      </c>
      <c r="R25" s="35">
        <f t="shared" si="3"/>
        <v>0.27200000000000002</v>
      </c>
      <c r="S25" s="60"/>
      <c r="T25" s="60"/>
      <c r="U25" s="61" t="s">
        <v>77</v>
      </c>
      <c r="V25" s="24"/>
    </row>
    <row r="26" spans="1:22" s="4" customFormat="1">
      <c r="A26" s="3">
        <v>19</v>
      </c>
      <c r="B26" s="17" t="s">
        <v>23</v>
      </c>
      <c r="C26" s="32">
        <f t="shared" si="1"/>
        <v>61.813333333333333</v>
      </c>
      <c r="D26" s="32">
        <v>61.813333333333333</v>
      </c>
      <c r="E26" s="33">
        <f t="shared" si="0"/>
        <v>1</v>
      </c>
      <c r="F26" s="25"/>
      <c r="G26" s="32">
        <v>77.98</v>
      </c>
      <c r="H26" s="32">
        <f>33.9/0.5</f>
        <v>67.8</v>
      </c>
      <c r="I26" s="32">
        <v>57.6</v>
      </c>
      <c r="J26" s="32">
        <v>62.5</v>
      </c>
      <c r="K26" s="32"/>
      <c r="L26" s="34">
        <v>35</v>
      </c>
      <c r="M26" s="34">
        <v>70</v>
      </c>
      <c r="N26" s="70"/>
      <c r="O26" s="32"/>
      <c r="P26" s="70"/>
      <c r="Q26" s="54"/>
      <c r="R26" s="35"/>
      <c r="S26" s="60"/>
      <c r="T26" s="60"/>
      <c r="U26" s="61"/>
      <c r="V26" s="24"/>
    </row>
    <row r="27" spans="1:22" s="4" customFormat="1" ht="45" customHeight="1">
      <c r="A27" s="3">
        <v>20</v>
      </c>
      <c r="B27" s="17" t="s">
        <v>24</v>
      </c>
      <c r="C27" s="32">
        <f t="shared" si="1"/>
        <v>56.330000000000005</v>
      </c>
      <c r="D27" s="32">
        <v>56.330000000000005</v>
      </c>
      <c r="E27" s="36">
        <f t="shared" si="0"/>
        <v>1</v>
      </c>
      <c r="F27" s="25"/>
      <c r="G27" s="32">
        <v>69.98</v>
      </c>
      <c r="H27" s="32">
        <f>27.9/0.5</f>
        <v>55.8</v>
      </c>
      <c r="I27" s="32">
        <v>52.2</v>
      </c>
      <c r="J27" s="32">
        <v>52.5</v>
      </c>
      <c r="K27" s="32"/>
      <c r="L27" s="34">
        <v>37.5</v>
      </c>
      <c r="M27" s="34">
        <v>70</v>
      </c>
      <c r="N27" s="70"/>
      <c r="O27" s="32"/>
      <c r="P27" s="70"/>
      <c r="Q27" s="54"/>
      <c r="R27" s="35"/>
      <c r="S27" s="60"/>
      <c r="T27" s="60"/>
      <c r="U27" s="61"/>
      <c r="V27" s="24"/>
    </row>
    <row r="28" spans="1:22" s="4" customFormat="1" ht="30.75" customHeight="1">
      <c r="A28" s="3">
        <v>21</v>
      </c>
      <c r="B28" s="17" t="s">
        <v>25</v>
      </c>
      <c r="C28" s="32">
        <f t="shared" si="1"/>
        <v>88.97166666666665</v>
      </c>
      <c r="D28" s="32">
        <v>88.97166666666665</v>
      </c>
      <c r="E28" s="33">
        <f t="shared" si="0"/>
        <v>1</v>
      </c>
      <c r="F28" s="25"/>
      <c r="G28" s="32">
        <v>85.89</v>
      </c>
      <c r="H28" s="32">
        <v>87.38</v>
      </c>
      <c r="I28" s="32">
        <v>105.56</v>
      </c>
      <c r="J28" s="32">
        <v>110</v>
      </c>
      <c r="K28" s="32"/>
      <c r="L28" s="34">
        <v>65</v>
      </c>
      <c r="M28" s="34">
        <v>80</v>
      </c>
      <c r="N28" s="86">
        <f>31/1000</f>
        <v>3.1E-2</v>
      </c>
      <c r="O28" s="32"/>
      <c r="P28" s="35">
        <f>23.8/1000</f>
        <v>2.3800000000000002E-2</v>
      </c>
      <c r="Q28" s="83">
        <f>64/1000</f>
        <v>6.4000000000000001E-2</v>
      </c>
      <c r="R28" s="35">
        <f t="shared" ref="R28:R39" si="4">SUM(N28:Q28)</f>
        <v>0.1188</v>
      </c>
      <c r="S28" s="60"/>
      <c r="T28" s="60"/>
      <c r="U28" s="61" t="s">
        <v>77</v>
      </c>
      <c r="V28" s="24"/>
    </row>
    <row r="29" spans="1:22" s="4" customFormat="1" ht="31.5" customHeight="1">
      <c r="A29" s="3">
        <v>22</v>
      </c>
      <c r="B29" s="17" t="s">
        <v>26</v>
      </c>
      <c r="C29" s="32">
        <f t="shared" si="1"/>
        <v>82.960833333333326</v>
      </c>
      <c r="D29" s="32">
        <v>82.960833333333326</v>
      </c>
      <c r="E29" s="33">
        <f t="shared" si="0"/>
        <v>1</v>
      </c>
      <c r="F29" s="25"/>
      <c r="G29" s="32">
        <v>59.89</v>
      </c>
      <c r="H29" s="32">
        <f>89.9/0.8</f>
        <v>112.375</v>
      </c>
      <c r="I29" s="32">
        <v>45.5</v>
      </c>
      <c r="J29" s="32">
        <v>110</v>
      </c>
      <c r="K29" s="32"/>
      <c r="L29" s="34">
        <v>95</v>
      </c>
      <c r="M29" s="34">
        <v>75</v>
      </c>
      <c r="N29" s="70">
        <f>6/1000</f>
        <v>6.0000000000000001E-3</v>
      </c>
      <c r="O29" s="32"/>
      <c r="P29" s="35">
        <f>3/1000</f>
        <v>3.0000000000000001E-3</v>
      </c>
      <c r="Q29" s="54">
        <f>23/1000</f>
        <v>2.3E-2</v>
      </c>
      <c r="R29" s="35">
        <f t="shared" si="4"/>
        <v>3.2000000000000001E-2</v>
      </c>
      <c r="S29" s="60"/>
      <c r="T29" s="60"/>
      <c r="U29" s="61" t="s">
        <v>77</v>
      </c>
      <c r="V29" s="24"/>
    </row>
    <row r="30" spans="1:22" s="4" customFormat="1">
      <c r="A30" s="3">
        <v>23</v>
      </c>
      <c r="B30" s="17" t="s">
        <v>27</v>
      </c>
      <c r="C30" s="32">
        <f t="shared" si="1"/>
        <v>91.251666666666665</v>
      </c>
      <c r="D30" s="32">
        <v>91.251666666666665</v>
      </c>
      <c r="E30" s="33">
        <f t="shared" si="0"/>
        <v>1</v>
      </c>
      <c r="F30" s="25"/>
      <c r="G30" s="32">
        <v>79.89</v>
      </c>
      <c r="H30" s="32">
        <v>112.37</v>
      </c>
      <c r="I30" s="32">
        <v>105.25</v>
      </c>
      <c r="J30" s="32">
        <v>105</v>
      </c>
      <c r="K30" s="32"/>
      <c r="L30" s="34">
        <v>70</v>
      </c>
      <c r="M30" s="34">
        <v>75</v>
      </c>
      <c r="N30" s="86">
        <f>10/1000</f>
        <v>0.01</v>
      </c>
      <c r="O30" s="32"/>
      <c r="P30" s="35">
        <f>10/1000</f>
        <v>0.01</v>
      </c>
      <c r="Q30" s="54">
        <f>23/1000</f>
        <v>2.3E-2</v>
      </c>
      <c r="R30" s="35">
        <f t="shared" si="4"/>
        <v>4.2999999999999997E-2</v>
      </c>
      <c r="S30" s="60"/>
      <c r="T30" s="60"/>
      <c r="U30" s="61" t="s">
        <v>77</v>
      </c>
      <c r="V30" s="24"/>
    </row>
    <row r="31" spans="1:22">
      <c r="A31" s="2">
        <v>24</v>
      </c>
      <c r="B31" s="11" t="s">
        <v>28</v>
      </c>
      <c r="C31" s="32">
        <f t="shared" si="1"/>
        <v>42.55</v>
      </c>
      <c r="D31" s="32">
        <v>42.55</v>
      </c>
      <c r="E31" s="33">
        <f t="shared" si="0"/>
        <v>1</v>
      </c>
      <c r="F31" s="25"/>
      <c r="G31" s="32">
        <v>30.54</v>
      </c>
      <c r="H31" s="32">
        <v>74.88</v>
      </c>
      <c r="I31" s="32">
        <v>28.63</v>
      </c>
      <c r="J31" s="32">
        <v>56.25</v>
      </c>
      <c r="K31" s="32"/>
      <c r="L31" s="34">
        <v>40</v>
      </c>
      <c r="M31" s="34">
        <v>25</v>
      </c>
      <c r="N31" s="86">
        <f>17/1000</f>
        <v>1.7000000000000001E-2</v>
      </c>
      <c r="O31" s="32"/>
      <c r="P31" s="35">
        <f>42.4/1000</f>
        <v>4.24E-2</v>
      </c>
      <c r="Q31" s="83">
        <f>89/1000</f>
        <v>8.8999999999999996E-2</v>
      </c>
      <c r="R31" s="35">
        <f t="shared" si="4"/>
        <v>0.1484</v>
      </c>
      <c r="S31" s="60"/>
      <c r="T31" s="60"/>
      <c r="U31" s="61" t="s">
        <v>77</v>
      </c>
    </row>
    <row r="32" spans="1:22">
      <c r="A32" s="2">
        <v>25</v>
      </c>
      <c r="B32" s="11" t="s">
        <v>29</v>
      </c>
      <c r="C32" s="32">
        <f t="shared" si="1"/>
        <v>138.5972222222222</v>
      </c>
      <c r="D32" s="32">
        <v>138.5972222222222</v>
      </c>
      <c r="E32" s="33">
        <f t="shared" si="0"/>
        <v>1</v>
      </c>
      <c r="F32" s="25"/>
      <c r="G32" s="32">
        <v>177.23</v>
      </c>
      <c r="H32" s="32">
        <f>59.9/0.375</f>
        <v>159.73333333333332</v>
      </c>
      <c r="I32" s="32">
        <v>94.62</v>
      </c>
      <c r="J32" s="32">
        <v>140</v>
      </c>
      <c r="K32" s="32"/>
      <c r="L32" s="34">
        <v>120</v>
      </c>
      <c r="M32" s="34">
        <v>140</v>
      </c>
      <c r="N32" s="70">
        <f>3/1000</f>
        <v>3.0000000000000001E-3</v>
      </c>
      <c r="O32" s="32"/>
      <c r="P32" s="35">
        <f>10/1000</f>
        <v>0.01</v>
      </c>
      <c r="Q32" s="54">
        <f>60/1000</f>
        <v>0.06</v>
      </c>
      <c r="R32" s="35">
        <f t="shared" si="4"/>
        <v>7.2999999999999995E-2</v>
      </c>
      <c r="S32" s="60"/>
      <c r="T32" s="60"/>
      <c r="U32" s="61" t="s">
        <v>77</v>
      </c>
    </row>
    <row r="33" spans="1:22" ht="46.5" customHeight="1">
      <c r="A33" s="2">
        <v>26</v>
      </c>
      <c r="B33" s="11" t="s">
        <v>30</v>
      </c>
      <c r="C33" s="32">
        <f t="shared" si="1"/>
        <v>74.580833333333331</v>
      </c>
      <c r="D33" s="32">
        <v>74.580833333333331</v>
      </c>
      <c r="E33" s="33">
        <f t="shared" si="0"/>
        <v>1</v>
      </c>
      <c r="F33" s="25"/>
      <c r="G33" s="32">
        <v>104.44</v>
      </c>
      <c r="H33" s="32">
        <f>69.9/0.8</f>
        <v>87.375</v>
      </c>
      <c r="I33" s="32">
        <v>106.67</v>
      </c>
      <c r="J33" s="32">
        <v>48</v>
      </c>
      <c r="K33" s="32"/>
      <c r="L33" s="34">
        <v>46</v>
      </c>
      <c r="M33" s="34">
        <v>55</v>
      </c>
      <c r="N33" s="35">
        <f>7/1000</f>
        <v>7.0000000000000001E-3</v>
      </c>
      <c r="O33" s="32"/>
      <c r="P33" s="35">
        <f>28/1000</f>
        <v>2.8000000000000001E-2</v>
      </c>
      <c r="Q33" s="83">
        <f>114/1000</f>
        <v>0.114</v>
      </c>
      <c r="R33" s="35">
        <f t="shared" si="4"/>
        <v>0.14900000000000002</v>
      </c>
      <c r="S33" s="60"/>
      <c r="T33" s="60"/>
      <c r="U33" s="61" t="s">
        <v>77</v>
      </c>
    </row>
    <row r="34" spans="1:22" s="7" customFormat="1">
      <c r="A34" s="10">
        <v>27</v>
      </c>
      <c r="B34" s="11" t="s">
        <v>31</v>
      </c>
      <c r="C34" s="32">
        <f>AVERAGE(G34:M34)</f>
        <v>32.631666666666668</v>
      </c>
      <c r="D34" s="32">
        <v>32.631666666666668</v>
      </c>
      <c r="E34" s="33">
        <f t="shared" si="0"/>
        <v>1</v>
      </c>
      <c r="F34" s="26"/>
      <c r="G34" s="32">
        <v>19.989999999999998</v>
      </c>
      <c r="H34" s="32">
        <v>25.9</v>
      </c>
      <c r="I34" s="32">
        <v>39.9</v>
      </c>
      <c r="J34" s="32">
        <v>40</v>
      </c>
      <c r="K34" s="32"/>
      <c r="L34" s="34">
        <v>35</v>
      </c>
      <c r="M34" s="34">
        <v>35</v>
      </c>
      <c r="N34" s="86">
        <f>20/1000</f>
        <v>0.02</v>
      </c>
      <c r="O34" s="32"/>
      <c r="P34" s="35">
        <f>20/1000</f>
        <v>0.02</v>
      </c>
      <c r="Q34" s="83">
        <f>196/1000</f>
        <v>0.19600000000000001</v>
      </c>
      <c r="R34" s="35">
        <f t="shared" si="4"/>
        <v>0.23600000000000002</v>
      </c>
      <c r="S34" s="60"/>
      <c r="T34" s="60"/>
      <c r="U34" s="61" t="s">
        <v>77</v>
      </c>
      <c r="V34" s="12"/>
    </row>
    <row r="35" spans="1:22" s="7" customFormat="1" ht="68.25" customHeight="1">
      <c r="A35" s="10">
        <v>28</v>
      </c>
      <c r="B35" s="11" t="s">
        <v>32</v>
      </c>
      <c r="C35" s="32">
        <f t="shared" si="1"/>
        <v>36.25</v>
      </c>
      <c r="D35" s="32">
        <v>36.25</v>
      </c>
      <c r="E35" s="33">
        <f t="shared" si="0"/>
        <v>1</v>
      </c>
      <c r="F35" s="25"/>
      <c r="G35" s="32">
        <v>27</v>
      </c>
      <c r="H35" s="32">
        <v>32.9</v>
      </c>
      <c r="I35" s="32">
        <v>39.6</v>
      </c>
      <c r="J35" s="32">
        <v>48</v>
      </c>
      <c r="K35" s="32"/>
      <c r="L35" s="34">
        <v>35</v>
      </c>
      <c r="M35" s="34">
        <v>35</v>
      </c>
      <c r="N35" s="86">
        <f>17/1000</f>
        <v>1.7000000000000001E-2</v>
      </c>
      <c r="O35" s="32"/>
      <c r="P35" s="35">
        <f>32/1000</f>
        <v>3.2000000000000001E-2</v>
      </c>
      <c r="Q35" s="83">
        <f>47/1000</f>
        <v>4.7E-2</v>
      </c>
      <c r="R35" s="35">
        <f t="shared" si="4"/>
        <v>9.6000000000000002E-2</v>
      </c>
      <c r="S35" s="60"/>
      <c r="T35" s="60"/>
      <c r="U35" s="61" t="s">
        <v>77</v>
      </c>
      <c r="V35" s="12"/>
    </row>
    <row r="36" spans="1:22" s="7" customFormat="1">
      <c r="A36" s="10">
        <v>29</v>
      </c>
      <c r="B36" s="11" t="s">
        <v>33</v>
      </c>
      <c r="C36" s="32">
        <f t="shared" si="1"/>
        <v>52.631666666666661</v>
      </c>
      <c r="D36" s="32">
        <v>52.631666666666661</v>
      </c>
      <c r="E36" s="36">
        <f t="shared" si="0"/>
        <v>1</v>
      </c>
      <c r="F36" s="25"/>
      <c r="G36" s="32">
        <v>51.99</v>
      </c>
      <c r="H36" s="32">
        <v>49.9</v>
      </c>
      <c r="I36" s="32">
        <v>45.9</v>
      </c>
      <c r="J36" s="32">
        <v>58</v>
      </c>
      <c r="K36" s="32"/>
      <c r="L36" s="34">
        <v>55</v>
      </c>
      <c r="M36" s="34">
        <v>55</v>
      </c>
      <c r="N36" s="86">
        <f>28/1000</f>
        <v>2.8000000000000001E-2</v>
      </c>
      <c r="O36" s="32"/>
      <c r="P36" s="35">
        <f>36/1000</f>
        <v>3.5999999999999997E-2</v>
      </c>
      <c r="Q36" s="83">
        <f>150/1000</f>
        <v>0.15</v>
      </c>
      <c r="R36" s="35">
        <f t="shared" si="4"/>
        <v>0.214</v>
      </c>
      <c r="S36" s="60"/>
      <c r="T36" s="60"/>
      <c r="U36" s="61" t="s">
        <v>77</v>
      </c>
      <c r="V36" s="12"/>
    </row>
    <row r="37" spans="1:22" s="7" customFormat="1" ht="48" customHeight="1">
      <c r="A37" s="10">
        <v>30</v>
      </c>
      <c r="B37" s="11" t="s">
        <v>34</v>
      </c>
      <c r="C37" s="32">
        <f t="shared" si="1"/>
        <v>46.631666666666661</v>
      </c>
      <c r="D37" s="32">
        <v>46.631666666666661</v>
      </c>
      <c r="E37" s="33">
        <f t="shared" si="0"/>
        <v>1</v>
      </c>
      <c r="F37" s="25"/>
      <c r="G37" s="32">
        <v>39.99</v>
      </c>
      <c r="H37" s="32">
        <v>59.9</v>
      </c>
      <c r="I37" s="32">
        <v>41.9</v>
      </c>
      <c r="J37" s="32">
        <v>48</v>
      </c>
      <c r="K37" s="32"/>
      <c r="L37" s="34">
        <v>55</v>
      </c>
      <c r="M37" s="34">
        <v>35</v>
      </c>
      <c r="N37" s="86">
        <f>10/1000</f>
        <v>0.01</v>
      </c>
      <c r="O37" s="32"/>
      <c r="P37" s="35">
        <f>23/1000</f>
        <v>2.3E-2</v>
      </c>
      <c r="Q37" s="83">
        <f>48/1000</f>
        <v>4.8000000000000001E-2</v>
      </c>
      <c r="R37" s="35">
        <f t="shared" si="4"/>
        <v>8.1000000000000003E-2</v>
      </c>
      <c r="S37" s="60"/>
      <c r="T37" s="60"/>
      <c r="U37" s="61" t="s">
        <v>77</v>
      </c>
      <c r="V37" s="12"/>
    </row>
    <row r="38" spans="1:22" ht="53.25" customHeight="1">
      <c r="A38" s="2">
        <v>31</v>
      </c>
      <c r="B38" s="11" t="s">
        <v>35</v>
      </c>
      <c r="C38" s="32">
        <f t="shared" si="1"/>
        <v>120.13166666666666</v>
      </c>
      <c r="D38" s="32">
        <v>120.29833333333333</v>
      </c>
      <c r="E38" s="36">
        <f t="shared" si="0"/>
        <v>0.99861455548012579</v>
      </c>
      <c r="F38" s="25" t="s">
        <v>89</v>
      </c>
      <c r="G38" s="88">
        <v>85.99</v>
      </c>
      <c r="H38" s="32">
        <v>94.9</v>
      </c>
      <c r="I38" s="32">
        <v>119.9</v>
      </c>
      <c r="J38" s="32">
        <v>140</v>
      </c>
      <c r="K38" s="32"/>
      <c r="L38" s="34">
        <v>140</v>
      </c>
      <c r="M38" s="34">
        <v>140</v>
      </c>
      <c r="N38" s="86">
        <f>7/1000</f>
        <v>7.0000000000000001E-3</v>
      </c>
      <c r="O38" s="32"/>
      <c r="P38" s="35">
        <f>23/1000</f>
        <v>2.3E-2</v>
      </c>
      <c r="Q38" s="83">
        <f>70/1000</f>
        <v>7.0000000000000007E-2</v>
      </c>
      <c r="R38" s="35">
        <f>SUM(N38:Q38)</f>
        <v>0.1</v>
      </c>
      <c r="S38" s="60"/>
      <c r="T38" s="60"/>
      <c r="U38" s="61" t="s">
        <v>77</v>
      </c>
    </row>
    <row r="39" spans="1:22" ht="45" customHeight="1">
      <c r="A39" s="2">
        <v>32</v>
      </c>
      <c r="B39" s="11" t="s">
        <v>36</v>
      </c>
      <c r="C39" s="32">
        <f t="shared" si="1"/>
        <v>901.26714285714297</v>
      </c>
      <c r="D39" s="32">
        <v>901.26714285714297</v>
      </c>
      <c r="E39" s="33">
        <f t="shared" si="0"/>
        <v>1</v>
      </c>
      <c r="F39" s="25"/>
      <c r="G39" s="32">
        <v>1162.48</v>
      </c>
      <c r="H39" s="32">
        <f>189.9/0.35</f>
        <v>542.57142857142867</v>
      </c>
      <c r="I39" s="32">
        <v>998.75</v>
      </c>
      <c r="J39" s="32"/>
      <c r="K39" s="32"/>
      <c r="L39" s="34"/>
      <c r="M39" s="34"/>
      <c r="N39" s="70"/>
      <c r="O39" s="32"/>
      <c r="P39" s="70"/>
      <c r="Q39" s="55"/>
      <c r="R39" s="35">
        <f t="shared" si="4"/>
        <v>0</v>
      </c>
      <c r="S39" s="60"/>
      <c r="T39" s="60"/>
      <c r="U39" s="63"/>
    </row>
    <row r="40" spans="1:22" ht="30.75" customHeight="1">
      <c r="A40" s="8"/>
      <c r="B40" s="22" t="s">
        <v>75</v>
      </c>
      <c r="C40" s="31"/>
      <c r="D40" s="31"/>
      <c r="E40" s="31"/>
      <c r="F40" s="38"/>
      <c r="G40" s="48"/>
      <c r="H40" s="48"/>
      <c r="I40" s="48"/>
      <c r="J40" s="48"/>
      <c r="K40" s="48"/>
      <c r="L40" s="48"/>
      <c r="M40" s="49"/>
      <c r="N40" s="49"/>
      <c r="O40" s="49"/>
      <c r="P40" s="49"/>
      <c r="Q40" s="49"/>
      <c r="R40" s="64"/>
      <c r="S40" s="65"/>
      <c r="T40" s="65"/>
      <c r="U40" s="65"/>
    </row>
    <row r="41" spans="1:22" ht="30.75" customHeight="1">
      <c r="A41" s="2">
        <v>33</v>
      </c>
      <c r="B41" s="18" t="s">
        <v>37</v>
      </c>
      <c r="C41" s="32" t="e">
        <f t="shared" ref="C41:C60" si="5">AVERAGE(G41:M41)</f>
        <v>#DIV/0!</v>
      </c>
      <c r="D41" s="32" t="e">
        <v>#DIV/0!</v>
      </c>
      <c r="E41" s="39" t="e">
        <f>C41/D41</f>
        <v>#DIV/0!</v>
      </c>
      <c r="F41" s="37"/>
      <c r="G41" s="40"/>
      <c r="H41" s="40"/>
      <c r="I41" s="40"/>
      <c r="J41" s="40"/>
      <c r="K41" s="40"/>
      <c r="L41" s="40"/>
      <c r="M41" s="40"/>
      <c r="N41" s="72"/>
      <c r="O41" s="40"/>
      <c r="P41" s="73"/>
      <c r="Q41" s="40"/>
      <c r="R41" s="66">
        <f t="shared" si="2"/>
        <v>0</v>
      </c>
      <c r="S41" s="60"/>
      <c r="T41" s="60"/>
      <c r="U41" s="63"/>
    </row>
    <row r="42" spans="1:22">
      <c r="A42" s="2">
        <v>34</v>
      </c>
      <c r="B42" s="19" t="s">
        <v>38</v>
      </c>
      <c r="C42" s="32">
        <f t="shared" si="5"/>
        <v>123.37666666666667</v>
      </c>
      <c r="D42" s="32">
        <v>123.37666666666667</v>
      </c>
      <c r="E42" s="39">
        <f t="shared" ref="E42:E60" si="6">C42/D42</f>
        <v>1</v>
      </c>
      <c r="F42" s="25"/>
      <c r="G42" s="34"/>
      <c r="H42" s="34">
        <v>107.07</v>
      </c>
      <c r="I42" s="34">
        <v>169</v>
      </c>
      <c r="J42" s="34"/>
      <c r="K42" s="34">
        <v>94.06</v>
      </c>
      <c r="L42" s="34"/>
      <c r="M42" s="34"/>
      <c r="N42" s="72"/>
      <c r="O42" s="85">
        <v>816</v>
      </c>
      <c r="P42" s="74"/>
      <c r="Q42" s="34"/>
      <c r="R42" s="66">
        <f t="shared" si="2"/>
        <v>816</v>
      </c>
      <c r="S42" s="60"/>
      <c r="T42" s="60"/>
      <c r="U42" s="61" t="s">
        <v>87</v>
      </c>
    </row>
    <row r="43" spans="1:22" ht="24.75" customHeight="1">
      <c r="A43" s="2">
        <v>35</v>
      </c>
      <c r="B43" s="19" t="s">
        <v>39</v>
      </c>
      <c r="C43" s="32">
        <f t="shared" si="5"/>
        <v>1299</v>
      </c>
      <c r="D43" s="32">
        <v>1299</v>
      </c>
      <c r="E43" s="39">
        <f t="shared" si="6"/>
        <v>1</v>
      </c>
      <c r="F43" s="37"/>
      <c r="G43" s="41"/>
      <c r="H43" s="41"/>
      <c r="I43" s="41"/>
      <c r="J43" s="41"/>
      <c r="K43" s="41">
        <v>1299</v>
      </c>
      <c r="L43" s="41"/>
      <c r="M43" s="41"/>
      <c r="N43" s="72"/>
      <c r="O43" s="41">
        <v>6</v>
      </c>
      <c r="P43" s="74"/>
      <c r="Q43" s="41"/>
      <c r="R43" s="66">
        <f t="shared" si="2"/>
        <v>6</v>
      </c>
      <c r="S43" s="60"/>
      <c r="T43" s="60"/>
      <c r="U43" s="61" t="s">
        <v>87</v>
      </c>
    </row>
    <row r="44" spans="1:22" ht="30" customHeight="1">
      <c r="A44" s="2">
        <v>36</v>
      </c>
      <c r="B44" s="19" t="s">
        <v>48</v>
      </c>
      <c r="C44" s="32">
        <f t="shared" si="5"/>
        <v>56.415555555555557</v>
      </c>
      <c r="D44" s="32">
        <v>56.415555555555557</v>
      </c>
      <c r="E44" s="39">
        <f t="shared" si="6"/>
        <v>1</v>
      </c>
      <c r="F44" s="25"/>
      <c r="G44" s="34">
        <v>55.16</v>
      </c>
      <c r="H44" s="34">
        <v>74.916666666666671</v>
      </c>
      <c r="I44" s="34">
        <v>39.17</v>
      </c>
      <c r="J44" s="34"/>
      <c r="K44" s="34"/>
      <c r="L44" s="34"/>
      <c r="M44" s="34"/>
      <c r="N44" s="72"/>
      <c r="O44" s="34"/>
      <c r="P44" s="74"/>
      <c r="Q44" s="34"/>
      <c r="R44" s="66">
        <f t="shared" si="2"/>
        <v>0</v>
      </c>
      <c r="S44" s="60"/>
      <c r="T44" s="60"/>
      <c r="U44" s="61"/>
    </row>
    <row r="45" spans="1:22" ht="27.75" customHeight="1">
      <c r="A45" s="2">
        <v>37</v>
      </c>
      <c r="B45" s="19" t="s">
        <v>52</v>
      </c>
      <c r="C45" s="32">
        <f t="shared" si="5"/>
        <v>21.975000000000001</v>
      </c>
      <c r="D45" s="32">
        <v>21.975000000000001</v>
      </c>
      <c r="E45" s="39">
        <f t="shared" si="6"/>
        <v>1</v>
      </c>
      <c r="F45" s="37"/>
      <c r="G45" s="34">
        <v>22.5</v>
      </c>
      <c r="H45" s="34">
        <v>39.9</v>
      </c>
      <c r="I45" s="34">
        <v>8</v>
      </c>
      <c r="J45" s="34">
        <f>35/2</f>
        <v>17.5</v>
      </c>
      <c r="K45" s="34"/>
      <c r="L45" s="34"/>
      <c r="M45" s="34"/>
      <c r="N45" s="75">
        <v>17</v>
      </c>
      <c r="O45" s="34"/>
      <c r="P45" s="74"/>
      <c r="Q45" s="34"/>
      <c r="R45" s="66">
        <f t="shared" si="2"/>
        <v>17</v>
      </c>
      <c r="S45" s="60"/>
      <c r="T45" s="60"/>
      <c r="U45" s="61" t="s">
        <v>81</v>
      </c>
    </row>
    <row r="46" spans="1:22">
      <c r="A46" s="2">
        <v>38</v>
      </c>
      <c r="B46" s="19" t="s">
        <v>40</v>
      </c>
      <c r="C46" s="32">
        <f t="shared" si="5"/>
        <v>42.014074074074081</v>
      </c>
      <c r="D46" s="32">
        <v>42.014074074074081</v>
      </c>
      <c r="E46" s="39">
        <f t="shared" si="6"/>
        <v>1</v>
      </c>
      <c r="F46" s="25"/>
      <c r="G46" s="32">
        <v>67.87</v>
      </c>
      <c r="H46" s="32">
        <v>33.222222222222221</v>
      </c>
      <c r="I46" s="32">
        <v>24.95</v>
      </c>
      <c r="J46" s="32"/>
      <c r="K46" s="32"/>
      <c r="L46" s="32"/>
      <c r="M46" s="32"/>
      <c r="N46" s="75"/>
      <c r="O46" s="32"/>
      <c r="P46" s="46"/>
      <c r="Q46" s="32"/>
      <c r="R46" s="66">
        <f t="shared" si="2"/>
        <v>0</v>
      </c>
      <c r="S46" s="60"/>
      <c r="T46" s="60"/>
      <c r="U46" s="61"/>
    </row>
    <row r="47" spans="1:22" ht="28.5" customHeight="1">
      <c r="A47" s="2">
        <v>39</v>
      </c>
      <c r="B47" s="19" t="s">
        <v>41</v>
      </c>
      <c r="C47" s="32">
        <f t="shared" si="5"/>
        <v>29.03</v>
      </c>
      <c r="D47" s="32">
        <v>29.03</v>
      </c>
      <c r="E47" s="39">
        <f t="shared" si="6"/>
        <v>1</v>
      </c>
      <c r="F47" s="25"/>
      <c r="G47" s="32">
        <v>25.32</v>
      </c>
      <c r="H47" s="32">
        <v>39.9</v>
      </c>
      <c r="I47" s="32">
        <v>15.9</v>
      </c>
      <c r="J47" s="32">
        <v>35</v>
      </c>
      <c r="K47" s="32"/>
      <c r="L47" s="32"/>
      <c r="M47" s="32"/>
      <c r="N47" s="75">
        <v>18</v>
      </c>
      <c r="O47" s="32"/>
      <c r="P47" s="46"/>
      <c r="Q47" s="32"/>
      <c r="R47" s="66">
        <f t="shared" si="2"/>
        <v>18</v>
      </c>
      <c r="S47" s="60"/>
      <c r="T47" s="60"/>
      <c r="U47" s="61" t="s">
        <v>79</v>
      </c>
    </row>
    <row r="48" spans="1:22">
      <c r="A48" s="2">
        <v>40</v>
      </c>
      <c r="B48" s="19" t="s">
        <v>42</v>
      </c>
      <c r="C48" s="32">
        <f t="shared" si="5"/>
        <v>60.955000000000005</v>
      </c>
      <c r="D48" s="32">
        <v>60.955000000000005</v>
      </c>
      <c r="E48" s="39">
        <f t="shared" si="6"/>
        <v>1</v>
      </c>
      <c r="F48" s="25"/>
      <c r="G48" s="32">
        <v>53.99</v>
      </c>
      <c r="H48" s="32">
        <v>69.900000000000006</v>
      </c>
      <c r="I48" s="32">
        <v>59.93</v>
      </c>
      <c r="J48" s="32">
        <f>120/150*75</f>
        <v>60</v>
      </c>
      <c r="K48" s="32"/>
      <c r="L48" s="32"/>
      <c r="M48" s="32"/>
      <c r="N48" s="75">
        <v>15</v>
      </c>
      <c r="O48" s="32"/>
      <c r="P48" s="46"/>
      <c r="Q48" s="32"/>
      <c r="R48" s="66">
        <f t="shared" si="2"/>
        <v>15</v>
      </c>
      <c r="S48" s="60"/>
      <c r="T48" s="60"/>
      <c r="U48" s="61" t="s">
        <v>79</v>
      </c>
    </row>
    <row r="49" spans="1:27" ht="26.25" customHeight="1">
      <c r="A49" s="2">
        <v>41</v>
      </c>
      <c r="B49" s="19" t="s">
        <v>43</v>
      </c>
      <c r="C49" s="32">
        <f t="shared" si="5"/>
        <v>60.922499999999999</v>
      </c>
      <c r="D49" s="32">
        <v>60.922499999999999</v>
      </c>
      <c r="E49" s="39">
        <f t="shared" si="6"/>
        <v>1</v>
      </c>
      <c r="F49" s="37"/>
      <c r="G49" s="32">
        <v>79.790000000000006</v>
      </c>
      <c r="H49" s="32">
        <v>49.9</v>
      </c>
      <c r="I49" s="32">
        <v>39</v>
      </c>
      <c r="J49" s="32">
        <v>75</v>
      </c>
      <c r="K49" s="32"/>
      <c r="L49" s="32"/>
      <c r="M49" s="32"/>
      <c r="N49" s="75">
        <v>12</v>
      </c>
      <c r="O49" s="32"/>
      <c r="P49" s="46"/>
      <c r="Q49" s="32"/>
      <c r="R49" s="66">
        <f t="shared" si="2"/>
        <v>12</v>
      </c>
      <c r="S49" s="60"/>
      <c r="T49" s="60"/>
      <c r="U49" s="61" t="s">
        <v>79</v>
      </c>
    </row>
    <row r="50" spans="1:27" ht="26.25" customHeight="1">
      <c r="A50" s="2">
        <v>42</v>
      </c>
      <c r="B50" s="19" t="s">
        <v>49</v>
      </c>
      <c r="C50" s="32">
        <f t="shared" si="5"/>
        <v>12.8675</v>
      </c>
      <c r="D50" s="32">
        <v>12.8675</v>
      </c>
      <c r="E50" s="39">
        <f t="shared" si="6"/>
        <v>1</v>
      </c>
      <c r="F50" s="25"/>
      <c r="G50" s="32">
        <v>8.99</v>
      </c>
      <c r="H50" s="32">
        <v>12.48</v>
      </c>
      <c r="I50" s="32">
        <v>8</v>
      </c>
      <c r="J50" s="32">
        <v>22</v>
      </c>
      <c r="K50" s="32"/>
      <c r="L50" s="32"/>
      <c r="M50" s="32"/>
      <c r="N50" s="87">
        <v>110</v>
      </c>
      <c r="O50" s="32"/>
      <c r="P50" s="46"/>
      <c r="Q50" s="32"/>
      <c r="R50" s="66">
        <f t="shared" si="2"/>
        <v>110</v>
      </c>
      <c r="S50" s="60"/>
      <c r="T50" s="60"/>
      <c r="U50" s="61" t="s">
        <v>79</v>
      </c>
    </row>
    <row r="51" spans="1:27" ht="40.5" customHeight="1">
      <c r="A51" s="13">
        <v>43</v>
      </c>
      <c r="B51" s="19" t="s">
        <v>50</v>
      </c>
      <c r="C51" s="32">
        <f t="shared" si="5"/>
        <v>16.636666666666667</v>
      </c>
      <c r="D51" s="32">
        <v>16.636666666666667</v>
      </c>
      <c r="E51" s="39">
        <f t="shared" si="6"/>
        <v>1</v>
      </c>
      <c r="F51" s="25"/>
      <c r="G51" s="32">
        <v>12.64</v>
      </c>
      <c r="H51" s="32">
        <v>19.95</v>
      </c>
      <c r="I51" s="32">
        <v>17.32</v>
      </c>
      <c r="J51" s="32"/>
      <c r="K51" s="32"/>
      <c r="L51" s="32"/>
      <c r="M51" s="32"/>
      <c r="N51" s="75"/>
      <c r="O51" s="32"/>
      <c r="P51" s="46"/>
      <c r="Q51" s="32"/>
      <c r="R51" s="66">
        <f t="shared" si="2"/>
        <v>0</v>
      </c>
      <c r="S51" s="60"/>
      <c r="T51" s="60"/>
      <c r="U51" s="61"/>
    </row>
    <row r="52" spans="1:27" ht="26.25" customHeight="1">
      <c r="A52" s="13">
        <v>44</v>
      </c>
      <c r="B52" s="19" t="s">
        <v>44</v>
      </c>
      <c r="C52" s="32">
        <f t="shared" si="5"/>
        <v>133.26805555555555</v>
      </c>
      <c r="D52" s="32">
        <v>133.26805555555555</v>
      </c>
      <c r="E52" s="39">
        <f t="shared" si="6"/>
        <v>1</v>
      </c>
      <c r="F52" s="25"/>
      <c r="G52" s="32">
        <v>164.48333333333335</v>
      </c>
      <c r="H52" s="32">
        <v>99.749999999999986</v>
      </c>
      <c r="I52" s="32">
        <v>139.94999999999999</v>
      </c>
      <c r="J52" s="32">
        <f>58/0.45</f>
        <v>128.88888888888889</v>
      </c>
      <c r="K52" s="32"/>
      <c r="L52" s="32"/>
      <c r="M52" s="32"/>
      <c r="N52" s="75">
        <v>22</v>
      </c>
      <c r="O52" s="32"/>
      <c r="P52" s="46"/>
      <c r="Q52" s="32"/>
      <c r="R52" s="66">
        <f>SUM(N52:Q52)</f>
        <v>22</v>
      </c>
      <c r="S52" s="60"/>
      <c r="T52" s="60"/>
      <c r="U52" s="61" t="s">
        <v>79</v>
      </c>
    </row>
    <row r="53" spans="1:27" ht="24.75" customHeight="1">
      <c r="A53" s="13">
        <v>53.25</v>
      </c>
      <c r="B53" s="19" t="s">
        <v>51</v>
      </c>
      <c r="C53" s="32">
        <f t="shared" si="5"/>
        <v>154.92909090909092</v>
      </c>
      <c r="D53" s="32">
        <v>154.92909090909092</v>
      </c>
      <c r="E53" s="39">
        <f t="shared" si="6"/>
        <v>1</v>
      </c>
      <c r="F53" s="25"/>
      <c r="G53" s="32">
        <v>175.99</v>
      </c>
      <c r="H53" s="32">
        <v>181.72727272727272</v>
      </c>
      <c r="I53" s="32">
        <v>107.07</v>
      </c>
      <c r="J53" s="32"/>
      <c r="K53" s="32"/>
      <c r="L53" s="32"/>
      <c r="M53" s="32"/>
      <c r="N53" s="75"/>
      <c r="O53" s="32"/>
      <c r="P53" s="46"/>
      <c r="Q53" s="32"/>
      <c r="R53" s="66">
        <f t="shared" si="2"/>
        <v>0</v>
      </c>
      <c r="S53" s="60"/>
      <c r="T53" s="60"/>
      <c r="U53" s="61"/>
      <c r="W53" s="5"/>
      <c r="X53" s="5"/>
      <c r="Y53" s="5"/>
      <c r="Z53" s="5"/>
      <c r="AA53" s="5"/>
    </row>
    <row r="54" spans="1:27">
      <c r="A54" s="13">
        <v>46</v>
      </c>
      <c r="B54" s="19" t="s">
        <v>45</v>
      </c>
      <c r="C54" s="32">
        <f>AVERAGE(G54:M54)</f>
        <v>2.3983333333333334</v>
      </c>
      <c r="D54" s="32">
        <v>2.3983333333333334</v>
      </c>
      <c r="E54" s="39">
        <f t="shared" si="6"/>
        <v>1</v>
      </c>
      <c r="F54" s="25"/>
      <c r="G54" s="32">
        <v>1.99</v>
      </c>
      <c r="H54" s="32">
        <v>4.9000000000000004</v>
      </c>
      <c r="I54" s="32">
        <v>2</v>
      </c>
      <c r="J54" s="32">
        <v>2</v>
      </c>
      <c r="K54" s="32"/>
      <c r="L54" s="32">
        <v>1.5</v>
      </c>
      <c r="M54" s="32">
        <v>2</v>
      </c>
      <c r="N54" s="87">
        <v>819</v>
      </c>
      <c r="O54" s="32"/>
      <c r="P54" s="78">
        <v>1867</v>
      </c>
      <c r="Q54" s="84">
        <v>386</v>
      </c>
      <c r="R54" s="62">
        <f>SUM(N54:Q54)</f>
        <v>3072</v>
      </c>
      <c r="S54" s="60"/>
      <c r="T54" s="60"/>
      <c r="U54" s="61" t="s">
        <v>79</v>
      </c>
      <c r="W54" s="5"/>
      <c r="X54" s="5"/>
      <c r="Y54" s="5"/>
      <c r="Z54" s="5"/>
      <c r="AA54" s="5"/>
    </row>
    <row r="55" spans="1:27" ht="27" customHeight="1">
      <c r="A55" s="13">
        <v>47</v>
      </c>
      <c r="B55" s="19" t="s">
        <v>46</v>
      </c>
      <c r="C55" s="32">
        <f t="shared" si="5"/>
        <v>15.72</v>
      </c>
      <c r="D55" s="32">
        <v>15.72</v>
      </c>
      <c r="E55" s="39">
        <f t="shared" si="6"/>
        <v>1</v>
      </c>
      <c r="F55" s="25"/>
      <c r="G55" s="32"/>
      <c r="H55" s="34">
        <v>15.72</v>
      </c>
      <c r="I55" s="34"/>
      <c r="J55" s="32"/>
      <c r="K55" s="34"/>
      <c r="L55" s="34"/>
      <c r="M55" s="34"/>
      <c r="N55" s="72"/>
      <c r="O55" s="34"/>
      <c r="P55" s="74"/>
      <c r="Q55" s="34"/>
      <c r="R55" s="66">
        <f t="shared" si="2"/>
        <v>0</v>
      </c>
      <c r="S55" s="60"/>
      <c r="T55" s="60"/>
      <c r="U55" s="61"/>
      <c r="W55" s="5"/>
      <c r="X55" s="5"/>
      <c r="Y55" s="5"/>
      <c r="Z55" s="5"/>
      <c r="AA55" s="5"/>
    </row>
    <row r="56" spans="1:27" ht="24" customHeight="1">
      <c r="A56" s="2">
        <v>48</v>
      </c>
      <c r="B56" s="20" t="s">
        <v>83</v>
      </c>
      <c r="C56" s="32" t="e">
        <f t="shared" si="5"/>
        <v>#DIV/0!</v>
      </c>
      <c r="D56" s="32" t="e">
        <v>#DIV/0!</v>
      </c>
      <c r="E56" s="39" t="e">
        <f t="shared" si="6"/>
        <v>#DIV/0!</v>
      </c>
      <c r="F56" s="37"/>
      <c r="G56" s="32"/>
      <c r="H56" s="32"/>
      <c r="I56" s="32"/>
      <c r="J56" s="32"/>
      <c r="K56" s="32"/>
      <c r="L56" s="32"/>
      <c r="M56" s="32"/>
      <c r="N56" s="72"/>
      <c r="O56" s="32"/>
      <c r="P56" s="46"/>
      <c r="Q56" s="32"/>
      <c r="R56" s="66">
        <f t="shared" si="2"/>
        <v>0</v>
      </c>
      <c r="S56" s="60"/>
      <c r="T56" s="60"/>
      <c r="U56" s="61"/>
    </row>
    <row r="57" spans="1:27" ht="30" customHeight="1">
      <c r="A57" s="2">
        <v>49</v>
      </c>
      <c r="B57" s="20" t="s">
        <v>66</v>
      </c>
      <c r="C57" s="32">
        <f t="shared" si="5"/>
        <v>75.13</v>
      </c>
      <c r="D57" s="32">
        <v>75.13</v>
      </c>
      <c r="E57" s="39">
        <f t="shared" si="6"/>
        <v>1</v>
      </c>
      <c r="F57" s="25"/>
      <c r="G57" s="32">
        <v>82.99</v>
      </c>
      <c r="H57" s="32">
        <v>59.9</v>
      </c>
      <c r="I57" s="32">
        <v>82.5</v>
      </c>
      <c r="J57" s="32"/>
      <c r="K57" s="32"/>
      <c r="L57" s="32"/>
      <c r="M57" s="32"/>
      <c r="N57" s="72"/>
      <c r="O57" s="32"/>
      <c r="P57" s="46"/>
      <c r="Q57" s="32"/>
      <c r="R57" s="66">
        <f t="shared" si="2"/>
        <v>0</v>
      </c>
      <c r="S57" s="60"/>
      <c r="T57" s="60"/>
      <c r="U57" s="61"/>
    </row>
    <row r="58" spans="1:27" ht="28.5" customHeight="1">
      <c r="A58" s="2">
        <v>50</v>
      </c>
      <c r="B58" s="20" t="s">
        <v>65</v>
      </c>
      <c r="C58" s="32">
        <f t="shared" si="5"/>
        <v>31.9</v>
      </c>
      <c r="D58" s="32">
        <v>31.9</v>
      </c>
      <c r="E58" s="39">
        <f t="shared" si="6"/>
        <v>1</v>
      </c>
      <c r="F58" s="37"/>
      <c r="G58" s="32"/>
      <c r="H58" s="32"/>
      <c r="I58" s="32">
        <v>31.9</v>
      </c>
      <c r="J58" s="32"/>
      <c r="K58" s="32"/>
      <c r="L58" s="32"/>
      <c r="M58" s="32"/>
      <c r="N58" s="76"/>
      <c r="O58" s="32"/>
      <c r="P58" s="46"/>
      <c r="Q58" s="32"/>
      <c r="R58" s="66">
        <f t="shared" si="2"/>
        <v>0</v>
      </c>
      <c r="S58" s="60"/>
      <c r="T58" s="60"/>
      <c r="U58" s="61"/>
      <c r="W58" s="5"/>
      <c r="X58" s="5"/>
      <c r="Y58" s="5"/>
      <c r="Z58" s="5"/>
      <c r="AA58" s="5"/>
    </row>
    <row r="59" spans="1:27" ht="27.75" customHeight="1">
      <c r="A59" s="2">
        <v>51</v>
      </c>
      <c r="B59" s="20" t="s">
        <v>67</v>
      </c>
      <c r="C59" s="32">
        <f t="shared" si="5"/>
        <v>139.9</v>
      </c>
      <c r="D59" s="32">
        <v>139.9</v>
      </c>
      <c r="E59" s="39">
        <f t="shared" si="6"/>
        <v>1</v>
      </c>
      <c r="F59" s="37"/>
      <c r="G59" s="32"/>
      <c r="H59" s="32"/>
      <c r="I59" s="32">
        <v>139.9</v>
      </c>
      <c r="J59" s="32"/>
      <c r="K59" s="32"/>
      <c r="L59" s="32"/>
      <c r="M59" s="32"/>
      <c r="N59" s="76"/>
      <c r="O59" s="32"/>
      <c r="P59" s="46"/>
      <c r="Q59" s="32"/>
      <c r="R59" s="66">
        <f t="shared" si="2"/>
        <v>0</v>
      </c>
      <c r="S59" s="60"/>
      <c r="T59" s="60"/>
      <c r="U59" s="61"/>
      <c r="W59" s="5"/>
      <c r="X59" s="5"/>
      <c r="Y59" s="5"/>
      <c r="Z59" s="5"/>
      <c r="AA59" s="5"/>
    </row>
    <row r="60" spans="1:27" ht="28.5" customHeight="1">
      <c r="A60" s="2">
        <v>52</v>
      </c>
      <c r="B60" s="20" t="s">
        <v>63</v>
      </c>
      <c r="C60" s="32">
        <f t="shared" si="5"/>
        <v>90</v>
      </c>
      <c r="D60" s="32">
        <v>90</v>
      </c>
      <c r="E60" s="39">
        <f t="shared" si="6"/>
        <v>1</v>
      </c>
      <c r="F60" s="37"/>
      <c r="G60" s="34"/>
      <c r="H60" s="34"/>
      <c r="I60" s="34"/>
      <c r="J60" s="34"/>
      <c r="K60" s="42">
        <v>90</v>
      </c>
      <c r="L60" s="34"/>
      <c r="M60" s="34"/>
      <c r="N60" s="76"/>
      <c r="O60" s="43">
        <v>146</v>
      </c>
      <c r="P60" s="74"/>
      <c r="Q60" s="34"/>
      <c r="R60" s="66">
        <f t="shared" si="2"/>
        <v>146</v>
      </c>
      <c r="S60" s="60"/>
      <c r="T60" s="60"/>
      <c r="U60" s="61" t="s">
        <v>79</v>
      </c>
      <c r="W60" s="5"/>
      <c r="X60" s="5"/>
      <c r="Y60" s="5"/>
      <c r="Z60" s="5"/>
      <c r="AA60" s="5"/>
    </row>
    <row r="61" spans="1:27" ht="24" hidden="1" customHeight="1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8"/>
      <c r="W61" s="91"/>
      <c r="X61" s="91"/>
      <c r="Y61" s="91"/>
      <c r="Z61" s="91"/>
      <c r="AA61" s="91"/>
    </row>
    <row r="62" spans="1:27" ht="34.5" hidden="1" customHeight="1">
      <c r="A62" s="100" t="s">
        <v>64</v>
      </c>
      <c r="B62" s="101"/>
      <c r="C62" s="101"/>
      <c r="D62" s="101"/>
      <c r="E62" s="101"/>
      <c r="F62" s="101"/>
      <c r="G62" s="101"/>
      <c r="H62" s="101"/>
      <c r="I62" s="44"/>
      <c r="J62" s="44"/>
      <c r="K62" s="44"/>
      <c r="L62" s="44"/>
      <c r="M62" s="44"/>
      <c r="N62" s="44"/>
      <c r="O62" s="44"/>
      <c r="P62" s="77"/>
      <c r="Q62" s="44"/>
      <c r="R62" s="67"/>
      <c r="S62" s="44"/>
      <c r="T62" s="44"/>
      <c r="U62" s="68"/>
      <c r="W62" s="14"/>
      <c r="X62" s="14"/>
      <c r="Y62" s="14"/>
      <c r="Z62" s="14"/>
      <c r="AA62" s="14"/>
    </row>
    <row r="63" spans="1:27" ht="50.25" hidden="1" customHeight="1">
      <c r="A63" s="98" t="s">
        <v>47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W63" s="9"/>
      <c r="X63" s="9"/>
      <c r="Y63" s="9"/>
      <c r="Z63" s="9"/>
      <c r="AA63" s="9"/>
    </row>
    <row r="64" spans="1:27" ht="28.5" hidden="1" customHeight="1">
      <c r="A64" s="89" t="s">
        <v>88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W64" s="91"/>
      <c r="X64" s="91"/>
      <c r="Y64" s="91"/>
      <c r="Z64" s="91"/>
      <c r="AA64" s="91"/>
    </row>
    <row r="65" hidden="1"/>
  </sheetData>
  <mergeCells count="19">
    <mergeCell ref="T1:U2"/>
    <mergeCell ref="A61:U61"/>
    <mergeCell ref="W61:AA61"/>
    <mergeCell ref="E5:E6"/>
    <mergeCell ref="J5:K5"/>
    <mergeCell ref="F4:F6"/>
    <mergeCell ref="A64:U64"/>
    <mergeCell ref="W64:AA64"/>
    <mergeCell ref="S4:T4"/>
    <mergeCell ref="U4:U6"/>
    <mergeCell ref="A5:A6"/>
    <mergeCell ref="B5:B6"/>
    <mergeCell ref="C5:C6"/>
    <mergeCell ref="R5:S5"/>
    <mergeCell ref="T5:T6"/>
    <mergeCell ref="D5:D6"/>
    <mergeCell ref="A63:U63"/>
    <mergeCell ref="A62:H62"/>
    <mergeCell ref="N5:Q5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12.05.20</vt:lpstr>
      <vt:lpstr>'12.05.20'!Область_печати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2020-05-12T04:55:56Z</cp:lastPrinted>
  <dcterms:created xsi:type="dcterms:W3CDTF">2020-02-26T18:00:37Z</dcterms:created>
  <dcterms:modified xsi:type="dcterms:W3CDTF">2020-05-12T05:59:25Z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